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abd26261847464a" /></Relationships>
</file>

<file path=xl/workbook.xml><?xml version="1.0" encoding="utf-8"?>
<x:workbook xmlns:x="http://schemas.openxmlformats.org/spreadsheetml/2006/main">
  <x:sheets>
    <x:sheet xmlns:r="http://schemas.openxmlformats.org/officeDocument/2006/relationships" name="Compare cars" sheetId="1" r:id="R9176c75593854bce"/>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0.00;($#,##0.00);$0.00"/>
    <x:numFmt numFmtId="201" formatCode="#,##0.00"/>
    <x:numFmt numFmtId="202" formatCode="0.0%"/>
    <x:numFmt numFmtId="203" formatCode="#,##0"/>
    <x:numFmt numFmtId="204" formatCode="0.0000%"/>
  </x:numFmts>
  <x:fonts count="8">
    <x:font>
      <x:sz val="11"/>
      <x:name val="Carlito"/>
    </x:font>
    <x:font>
      <x:sz val="11"/>
      <x:name val="Arial"/>
    </x:font>
    <x:font>
      <x:sz val="11"/>
      <x:color rgb="FF0B2B24"/>
      <x:name val="Arial"/>
    </x:font>
    <x:font>
      <x:sz val="16"/>
      <x:color rgb="FF0B2B24"/>
      <x:name val="Arial"/>
    </x:font>
    <x:font>
      <x:sz val="11"/>
      <x:color rgb="FFFFFFFF"/>
      <x:name val="Arial"/>
    </x:font>
    <x:font>
      <x:b/>
      <x:sz val="11"/>
      <x:color rgb="FFFFFFFF"/>
      <x:name val="Arial"/>
    </x:font>
    <x:font>
      <x:b/>
      <x:sz val="11"/>
      <x:color rgb="FF0B2B24"/>
      <x:name val="Arial"/>
    </x:font>
    <x:font>
      <x:b/>
      <x:sz val="15"/>
      <x:color rgb="FF0B2B24"/>
      <x:name val="Arial"/>
    </x:font>
  </x:fonts>
  <x:fills count="4">
    <x:fill>
      <x:patternFill patternType="none"/>
    </x:fill>
    <x:fill>
      <x:patternFill patternType="gray125"/>
    </x:fill>
    <x:fill>
      <x:patternFill patternType="solid">
        <x:fgColor rgb="FF087A58"/>
      </x:patternFill>
    </x:fill>
    <x:fill>
      <x:patternFill patternType="solid">
        <x:fgColor rgb="FFF3F4F4"/>
      </x:patternFill>
    </x:fill>
  </x:fills>
  <x:borders count="1">
    <x:border>
      <x:left/>
      <x:right/>
      <x:top/>
      <x:bottom/>
      <x:diagonal/>
    </x:border>
  </x:borders>
  <x:cellStyleXfs count="1">
    <x:xf numFmtId="0" fontId="0" fillId="0" borderId="0"/>
  </x:cellStyleXfs>
  <x:cellXfs count="17">
    <x:xf numFmtId="0" fontId="0" fillId="0" borderId="0" xfId="0"/>
    <x:xf numFmtId="0" fontId="1" fillId="0" borderId="0" xfId="0" applyNumberFormat="1" applyFont="1" applyFill="1" applyBorder="1"/>
    <x:xf numFmtId="0" fontId="2" fillId="0" borderId="0" xfId="0" applyNumberFormat="1" applyFont="1" applyFill="1" applyBorder="1"/>
    <x:xf numFmtId="0" fontId="3" fillId="0" borderId="0" xfId="0" applyNumberFormat="1" applyFont="1" applyFill="1" applyBorder="1"/>
    <x:xf numFmtId="0" fontId="2" fillId="0" borderId="0" xfId="0" applyNumberFormat="1" applyFont="1" applyFill="1" applyBorder="1" applyAlignment="1">
      <x:alignment wrapText="1"/>
    </x:xf>
    <x:xf numFmtId="0" fontId="2" fillId="2" borderId="0" xfId="0" applyNumberFormat="1" applyFont="1" applyFill="1" applyBorder="1"/>
    <x:xf numFmtId="0" fontId="4" fillId="2" borderId="0" xfId="0" applyNumberFormat="1" applyFont="1" applyFill="1" applyBorder="1"/>
    <x:xf numFmtId="0" fontId="5" fillId="2" borderId="0" xfId="0" applyNumberFormat="1" applyFont="1" applyFill="1" applyBorder="1"/>
    <x:xf numFmtId="0" fontId="2" fillId="3" borderId="0" xfId="0" applyNumberFormat="1" applyFont="1" applyFill="1" applyBorder="1"/>
    <x:xf numFmtId="200" fontId="2" fillId="0" borderId="0" xfId="0" applyNumberFormat="1" applyFont="1" applyFill="1" applyBorder="1"/>
    <x:xf numFmtId="201" fontId="2" fillId="3" borderId="0" xfId="0" applyNumberFormat="1" applyFont="1" applyFill="1" applyBorder="1"/>
    <x:xf numFmtId="202" fontId="2" fillId="3" borderId="0" xfId="0" applyNumberFormat="1" applyFont="1" applyFill="1" applyBorder="1"/>
    <x:xf numFmtId="203" fontId="2" fillId="3" borderId="0" xfId="0" applyNumberFormat="1" applyFont="1" applyFill="1" applyBorder="1"/>
    <x:xf numFmtId="201" fontId="2" fillId="0" borderId="0" xfId="0" applyNumberFormat="1" applyFont="1" applyFill="1" applyBorder="1"/>
    <x:xf numFmtId="204" fontId="2" fillId="0" borderId="0" xfId="0" applyNumberFormat="1" applyFont="1" applyFill="1" applyBorder="1"/>
    <x:xf numFmtId="200" fontId="6" fillId="0" borderId="0" xfId="0" applyNumberFormat="1" applyFont="1" applyFill="1" applyBorder="1"/>
    <x:xf numFmtId="200" fontId="7" fillId="0"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7ae860b2df148e1" /><Relationship Type="http://schemas.openxmlformats.org/officeDocument/2006/relationships/theme" Target="/xl/theme/theme1.xml" Id="Rfbd2955407cc41b0" /><Relationship Type="http://schemas.openxmlformats.org/officeDocument/2006/relationships/sharedStrings" Target="/xl/sharedStrings.xml" Id="Reb00e620f35d4216" /><Relationship Type="http://schemas.openxmlformats.org/officeDocument/2006/relationships/worksheet" Target="/xl/worksheets/sheet1.xml" Id="R9176c75593854bc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48" hidden="0" customWidth="1"/>
    <x:col min="2" max="2" width="21" hidden="0" customWidth="1"/>
    <x:col min="3" max="3" width="21" hidden="0" customWidth="1"/>
    <x:col min="4" max="4" width="3" hidden="0" customWidth="1"/>
    <x:col min="5" max="5" width="14" hidden="0" customWidth="1"/>
    <x:col min="6" max="6" width="14" hidden="0" customWidth="1"/>
    <x:col min="7" max="7" width="14" hidden="0" customWidth="1"/>
    <x:col min="8" max="8" width="14" hidden="0" customWidth="1"/>
  </x:cols>
  <x:sheetData>
    <x:row r="1" ht="23" customHeight="1">
      <x:c r="A1" s="2"/>
      <x:c r="B1" s="2"/>
      <x:c r="C1" s="2"/>
      <x:c r="D1" s="2"/>
      <x:c r="E1" s="2"/>
      <x:c r="F1" s="2"/>
      <x:c r="G1" s="2"/>
      <x:c r="H1" s="2"/>
    </x:row>
    <x:row r="2" ht="23" customHeight="1">
      <x:c r="A2" s="3" t="str">
        <x:v>Compare the full cost of two cars</x:v>
      </x:c>
      <x:c r="B2" s="2"/>
      <x:c r="C2" s="2"/>
      <x:c r="D2" s="2"/>
      <x:c r="E2" s="2"/>
      <x:c r="F2" s="2"/>
      <x:c r="G2" s="2"/>
      <x:c r="H2" s="2"/>
    </x:row>
    <x:row r="3" ht="23" customHeight="1">
      <x:c r="A3" s="7" t="str">
        <x:v>USD unless labeled</x:v>
      </x:c>
      <x:c r="B3" s="7" t="str">
        <x:v>Vehicle A</x:v>
      </x:c>
      <x:c r="C3" s="7" t="str">
        <x:v>Vehicle B</x:v>
      </x:c>
      <x:c r="D3" s="2"/>
      <x:c r="E3" s="4" t="str">
        <x:v>Use cash flow to plan monthly bills. Use economic ownership cost to compare vehicles over the same period. Loan principal is not added to depreciation. Change the gray inputs and compare both views.</x:v>
      </x:c>
      <x:c r="F3" s="4"/>
      <x:c r="G3" s="4"/>
      <x:c r="H3" s="4"/>
    </x:row>
    <x:row r="4" ht="23" customHeight="1">
      <x:c r="A4" s="2" t="str">
        <x:v>Input status</x:v>
      </x:c>
      <x:c r="B4" s="2" t="str">
        <x:f>IF(B32,"Ready","Check inputs")</x:f>
        <x:v>Ready</x:v>
      </x:c>
      <x:c r="C4" s="2" t="str">
        <x:f>IF(C32,"Ready","Check inputs")</x:f>
        <x:v>Ready</x:v>
      </x:c>
      <x:c r="D4" s="2"/>
      <x:c r="E4" s="4"/>
      <x:c r="F4" s="4"/>
      <x:c r="G4" s="4"/>
      <x:c r="H4" s="4"/>
    </x:row>
    <x:row r="5" ht="23" customHeight="1">
      <x:c r="A5" s="2" t="str">
        <x:v>Upfront cash</x:v>
      </x:c>
      <x:c r="B5" s="9" t="n">
        <x:f>IF(B32,B44,"Check inputs")</x:f>
        <x:v>6500</x:v>
      </x:c>
      <x:c r="C5" s="9" t="n">
        <x:f>IF(C32,C44,"Check inputs")</x:f>
        <x:v>6900</x:v>
      </x:c>
      <x:c r="D5" s="2"/>
      <x:c r="E5" s="4"/>
      <x:c r="F5" s="4"/>
      <x:c r="G5" s="4"/>
      <x:c r="H5" s="4"/>
    </x:row>
    <x:row r="6" ht="23" customHeight="1">
      <x:c r="A6" s="2" t="str">
        <x:v>Monthly budget while loan is active</x:v>
      </x:c>
      <x:c r="B6" s="9" t="n">
        <x:f>IF(B32,B36+B40/12,"Check inputs")</x:f>
        <x:v>888.8612191016105</x:v>
      </x:c>
      <x:c r="C6" s="9" t="n">
        <x:f>IF(C32,C36+C40/12,"Check inputs")</x:f>
        <x:v>873.397496522729</x:v>
      </x:c>
      <x:c r="D6" s="2"/>
      <x:c r="E6" s="4"/>
      <x:c r="F6" s="4"/>
      <x:c r="G6" s="4"/>
      <x:c r="H6" s="4"/>
    </x:row>
    <x:row r="7" ht="23" customHeight="1">
      <x:c r="A7" s="2" t="str">
        <x:v>Average monthly outflow, excluding upfront</x:v>
      </x:c>
      <x:c r="B7" s="9" t="n">
        <x:f>IF(B32,B46,"Check inputs")</x:f>
        <x:v>888.8612191016105</x:v>
      </x:c>
      <x:c r="C7" s="9" t="n">
        <x:f>IF(C32,C46,"Check inputs")</x:f>
        <x:v>873.397496522729</x:v>
      </x:c>
      <x:c r="D7" s="2"/>
      <x:c r="E7" s="4"/>
      <x:c r="F7" s="4"/>
      <x:c r="G7" s="4"/>
      <x:c r="H7" s="4"/>
    </x:row>
    <x:row r="8" ht="23" customHeight="1">
      <x:c r="A8" s="2" t="str">
        <x:v>Total economic ownership cost</x:v>
      </x:c>
      <x:c r="B8" s="16" t="n">
        <x:f>IF(B32,B43,"Check inputs")</x:f>
        <x:v>47831.673146096626</x:v>
      </x:c>
      <x:c r="C8" s="16" t="n">
        <x:f>IF(C32,C43,"Check inputs")</x:f>
        <x:v>48745.924116649665</x:v>
      </x:c>
      <x:c r="D8" s="2"/>
      <x:c r="E8" s="4"/>
      <x:c r="F8" s="4"/>
      <x:c r="G8" s="4"/>
      <x:c r="H8" s="4"/>
    </x:row>
    <x:row r="9" ht="23" customHeight="1">
      <x:c r="A9" s="2" t="str">
        <x:v>Loan balance when sold</x:v>
      </x:c>
      <x:c r="B9" s="9" t="n">
        <x:f>IF(B32,B38,"Check inputs")</x:f>
        <x:v>0</x:v>
      </x:c>
      <x:c r="C9" s="9" t="n">
        <x:f>IF(C32,C38,"Check inputs")</x:f>
        <x:v>5442.074325285917</x:v>
      </x:c>
      <x:c r="D9" s="2"/>
      <x:c r="E9" s="4"/>
      <x:c r="F9" s="4"/>
      <x:c r="G9" s="4"/>
      <x:c r="H9" s="4"/>
    </x:row>
    <x:row r="10" ht="23" customHeight="1">
      <x:c r="A10" s="2" t="str">
        <x:v>Sale proceeds after payoff</x:v>
      </x:c>
      <x:c r="B10" s="9" t="n">
        <x:f>IF(B32,B45,"Check inputs")</x:f>
        <x:v>12000</x:v>
      </x:c>
      <x:c r="C10" s="9" t="n">
        <x:f>IF(C32,C45,"Check inputs")</x:f>
        <x:v>10557.925674714083</x:v>
      </x:c>
      <x:c r="D10" s="2"/>
      <x:c r="E10" s="4"/>
      <x:c r="F10" s="4"/>
      <x:c r="G10" s="4"/>
      <x:c r="H10" s="4"/>
    </x:row>
    <x:row r="11" ht="23" customHeight="1">
      <x:c r="A11" s="2"/>
      <x:c r="B11" s="2"/>
      <x:c r="C11" s="2"/>
      <x:c r="D11" s="2"/>
      <x:c r="E11" s="2"/>
      <x:c r="F11" s="2"/>
      <x:c r="G11" s="2"/>
      <x:c r="H11" s="2"/>
    </x:row>
    <x:row r="12" ht="23" customHeight="1">
      <x:c r="A12" s="2" t="str">
        <x:v>Edit the gray input cells below. Defaults are illustrative, not market quotes.</x:v>
      </x:c>
      <x:c r="B12" s="2"/>
      <x:c r="C12" s="2"/>
      <x:c r="D12" s="2"/>
      <x:c r="E12" s="2"/>
      <x:c r="F12" s="2"/>
      <x:c r="G12" s="2"/>
      <x:c r="H12" s="2"/>
    </x:row>
    <x:row r="13" ht="23" customHeight="1">
      <x:c r="A13" s="2" t="str">
        <x:v>Fees are upfront. No leases, rolled-in debt, tax credits or investment opportunity costs are modeled.</x:v>
      </x:c>
      <x:c r="B13" s="2"/>
      <x:c r="C13" s="2"/>
      <x:c r="D13" s="2"/>
      <x:c r="E13" s="2"/>
      <x:c r="F13" s="2"/>
      <x:c r="G13" s="2"/>
      <x:c r="H13" s="2"/>
    </x:row>
    <x:row r="14" ht="23" customHeight="1">
      <x:c r="A14" s="2" t="str">
        <x:v>Negative sale proceeds mean cash is needed to settle the loan. Resale is an assumption, not a forecast.</x:v>
      </x:c>
      <x:c r="B14" s="2"/>
      <x:c r="C14" s="2"/>
      <x:c r="D14" s="2"/>
      <x:c r="E14" s="2"/>
      <x:c r="F14" s="2"/>
      <x:c r="G14" s="2"/>
      <x:c r="H14" s="2"/>
    </x:row>
    <x:row r="15" ht="23" customHeight="1">
      <x:c r="A15" s="2"/>
      <x:c r="B15" s="2"/>
      <x:c r="C15" s="2"/>
      <x:c r="D15" s="2"/>
      <x:c r="E15" s="2"/>
      <x:c r="F15" s="2"/>
      <x:c r="G15" s="2"/>
      <x:c r="H15" s="2"/>
    </x:row>
    <x:row r="16" ht="23" customHeight="1">
      <x:c r="A16" s="2"/>
      <x:c r="B16" s="2"/>
      <x:c r="C16" s="2"/>
      <x:c r="D16" s="2"/>
      <x:c r="E16" s="2"/>
      <x:c r="F16" s="2"/>
      <x:c r="G16" s="2"/>
      <x:c r="H16" s="2"/>
    </x:row>
    <x:row r="17" ht="23" customHeight="1">
      <x:c r="A17" s="2" t="str">
        <x:v>Holding period (months)</x:v>
      </x:c>
      <x:c r="B17" s="8" t="n">
        <x:v>60</x:v>
      </x:c>
      <x:c r="C17" s="2"/>
      <x:c r="D17" s="2"/>
      <x:c r="E17" s="2"/>
      <x:c r="F17" s="2"/>
      <x:c r="G17" s="2"/>
      <x:c r="H17" s="2"/>
    </x:row>
    <x:row r="18" ht="23" customHeight="1">
      <x:c r="A18" s="2"/>
      <x:c r="B18" s="2"/>
      <x:c r="C18" s="2"/>
      <x:c r="D18" s="2"/>
      <x:c r="E18" s="2"/>
      <x:c r="F18" s="2"/>
      <x:c r="G18" s="2"/>
      <x:c r="H18" s="2"/>
    </x:row>
    <x:row r="19" ht="23" customHeight="1">
      <x:c r="A19" s="7" t="str">
        <x:v>Editable assumptions</x:v>
      </x:c>
      <x:c r="B19" s="7"/>
      <x:c r="C19" s="7"/>
      <x:c r="D19" s="2"/>
      <x:c r="E19" s="2"/>
      <x:c r="F19" s="2"/>
      <x:c r="G19" s="2"/>
      <x:c r="H19" s="2"/>
    </x:row>
    <x:row r="20" ht="23" customHeight="1">
      <x:c r="A20" s="2" t="str">
        <x:v>Price before upfront fees ($)</x:v>
      </x:c>
      <x:c r="B20" s="10" t="n">
        <x:v>25000</x:v>
      </x:c>
      <x:c r="C20" s="10" t="n">
        <x:v>32000</x:v>
      </x:c>
      <x:c r="D20" s="2"/>
      <x:c r="E20" s="4" t="str">
        <x:v>Energy per mile = fuel price / mpg, or charging price × kWh per mile.</x:v>
      </x:c>
      <x:c r="F20" s="4"/>
      <x:c r="G20" s="4"/>
      <x:c r="H20" s="4"/>
    </x:row>
    <x:row r="21" ht="23" customHeight="1">
      <x:c r="A21" s="2" t="str">
        <x:v>Fees and taxes paid upfront ($)</x:v>
      </x:c>
      <x:c r="B21" s="10" t="n">
        <x:v>1500</x:v>
      </x:c>
      <x:c r="C21" s="10" t="n">
        <x:v>1900</x:v>
      </x:c>
      <x:c r="D21" s="2"/>
      <x:c r="E21" s="4"/>
      <x:c r="F21" s="4"/>
      <x:c r="G21" s="4"/>
      <x:c r="H21" s="4"/>
    </x:row>
    <x:row r="22" ht="23" customHeight="1">
      <x:c r="A22" s="2" t="str">
        <x:v>Down payment ($)</x:v>
      </x:c>
      <x:c r="B22" s="10" t="n">
        <x:v>5000</x:v>
      </x:c>
      <x:c r="C22" s="10" t="n">
        <x:v>5000</x:v>
      </x:c>
      <x:c r="D22" s="2"/>
      <x:c r="E22" s="4"/>
      <x:c r="F22" s="4"/>
      <x:c r="G22" s="4"/>
      <x:c r="H22" s="4"/>
    </x:row>
    <x:row r="23" ht="23" customHeight="1">
      <x:c r="A23" s="2" t="str">
        <x:v>Annual interest rate</x:v>
      </x:c>
      <x:c r="B23" s="11" t="n">
        <x:v>0.08</x:v>
      </x:c>
      <x:c r="C23" s="11" t="n">
        <x:v>0.08</x:v>
      </x:c>
      <x:c r="D23" s="2"/>
      <x:c r="E23" s="2"/>
      <x:c r="F23" s="2"/>
      <x:c r="G23" s="2"/>
      <x:c r="H23" s="2"/>
    </x:row>
    <x:row r="24" ht="23" customHeight="1">
      <x:c r="A24" s="2" t="str">
        <x:v>Loan term (months)</x:v>
      </x:c>
      <x:c r="B24" s="12" t="n">
        <x:v>60</x:v>
      </x:c>
      <x:c r="C24" s="12" t="n">
        <x:v>72</x:v>
      </x:c>
      <x:c r="D24" s="2"/>
      <x:c r="E24" s="4" t="str">
        <x:v>Other costs include registration, parking and tolls. Maintenance is estimated expense: do not also include reserve deposits.</x:v>
      </x:c>
      <x:c r="F24" s="4"/>
      <x:c r="G24" s="4"/>
      <x:c r="H24" s="4"/>
    </x:row>
    <x:row r="25" ht="23" customHeight="1">
      <x:c r="A25" s="2" t="str">
        <x:v>Annual miles</x:v>
      </x:c>
      <x:c r="B25" s="12" t="n">
        <x:v>15000</x:v>
      </x:c>
      <x:c r="C25" s="12" t="n">
        <x:v>15000</x:v>
      </x:c>
      <x:c r="D25" s="2"/>
      <x:c r="E25" s="4"/>
      <x:c r="F25" s="4"/>
      <x:c r="G25" s="4"/>
      <x:c r="H25" s="4"/>
    </x:row>
    <x:row r="26" ht="23" customHeight="1">
      <x:c r="A26" s="2" t="str">
        <x:v>Energy cost per mile ($)</x:v>
      </x:c>
      <x:c r="B26" s="10" t="n">
        <x:v>0.16</x:v>
      </x:c>
      <x:c r="C26" s="10" t="n">
        <x:v>0.08</x:v>
      </x:c>
      <x:c r="D26" s="2"/>
      <x:c r="E26" s="4"/>
      <x:c r="F26" s="4"/>
      <x:c r="G26" s="4"/>
      <x:c r="H26" s="4"/>
    </x:row>
    <x:row r="27" ht="23" customHeight="1">
      <x:c r="A27" s="2" t="str">
        <x:v>Annual insurance ($)</x:v>
      </x:c>
      <x:c r="B27" s="10" t="n">
        <x:v>1800</x:v>
      </x:c>
      <x:c r="C27" s="10" t="n">
        <x:v>2200</x:v>
      </x:c>
      <x:c r="D27" s="2"/>
      <x:c r="E27" s="4"/>
      <x:c r="F27" s="4"/>
      <x:c r="G27" s="4"/>
      <x:c r="H27" s="4"/>
    </x:row>
    <x:row r="28" ht="23" customHeight="1">
      <x:c r="A28" s="2" t="str">
        <x:v>Annual maintenance and repairs ($)</x:v>
      </x:c>
      <x:c r="B28" s="10" t="n">
        <x:v>1000</x:v>
      </x:c>
      <x:c r="C28" s="10" t="n">
        <x:v>800</x:v>
      </x:c>
      <x:c r="D28" s="2"/>
      <x:c r="E28" s="2"/>
      <x:c r="F28" s="2"/>
      <x:c r="G28" s="2"/>
      <x:c r="H28" s="2"/>
    </x:row>
    <x:row r="29" ht="23" customHeight="1">
      <x:c r="A29" s="2" t="str">
        <x:v>Other annual costs ($)</x:v>
      </x:c>
      <x:c r="B29" s="10" t="n">
        <x:v>600</x:v>
      </x:c>
      <x:c r="C29" s="10" t="n">
        <x:v>600</x:v>
      </x:c>
      <x:c r="D29" s="2"/>
      <x:c r="E29" s="4" t="str">
        <x:v>Mileage sensitivity changes energy only; other inputs remain fixed. Insurance increase is capped at $100,000/year. Resale cannot fall below zero.</x:v>
      </x:c>
      <x:c r="F29" s="4"/>
      <x:c r="G29" s="4"/>
      <x:c r="H29" s="4"/>
    </x:row>
    <x:row r="30" ht="23" customHeight="1">
      <x:c r="A30" s="2" t="str">
        <x:v>Resale value at holding-period end ($)</x:v>
      </x:c>
      <x:c r="B30" s="10" t="n">
        <x:v>12000</x:v>
      </x:c>
      <x:c r="C30" s="10" t="n">
        <x:v>16000</x:v>
      </x:c>
      <x:c r="D30" s="2"/>
      <x:c r="E30" s="4"/>
      <x:c r="F30" s="4"/>
      <x:c r="G30" s="4"/>
      <x:c r="H30" s="4"/>
    </x:row>
    <x:row r="31" ht="23" customHeight="1">
      <x:c r="A31" s="2"/>
      <x:c r="B31" s="2"/>
      <x:c r="C31" s="2"/>
      <x:c r="D31" s="2"/>
      <x:c r="E31" s="4"/>
      <x:c r="F31" s="4"/>
      <x:c r="G31" s="4"/>
      <x:c r="H31" s="4"/>
    </x:row>
    <x:row r="32" ht="23" customHeight="1">
      <x:c r="A32" s="2" t="str">
        <x:v>Inputs valid</x:v>
      </x:c>
      <x:c r="B32" s="2" t="b">
        <x:f>AND(COUNT(B20:B30)=11,ISNUMBER($B$17),$B$17&gt;=1,$B$17&lt;=120,MOD($B$17,1)=0,MIN(B20:B30)&gt;=0,B20&lt;=1000000,B21&lt;=100000,B22&lt;=B20,B23&lt;=0.4,B24&gt;=1,B24&lt;=120,MOD(B24,1)=0,B25&lt;=100000,B26&lt;=10,MAX(B27:B29)&lt;=100000,B30&lt;=1000000)</x:f>
        <x:v>1</x:v>
      </x:c>
      <x:c r="C32" s="2" t="b">
        <x:f>AND(COUNT(C20:C30)=11,ISNUMBER($B$17),$B$17&gt;=1,$B$17&lt;=120,MOD($B$17,1)=0,MIN(C20:C30)&gt;=0,C20&lt;=1000000,C21&lt;=100000,C22&lt;=C20,C23&lt;=0.4,C24&gt;=1,C24&lt;=120,MOD(C24,1)=0,C25&lt;=100000,C26&lt;=10,MAX(C27:C29)&lt;=100000,C30&lt;=1000000)</x:f>
        <x:v>1</x:v>
      </x:c>
      <x:c r="D32" s="2"/>
      <x:c r="E32" s="4"/>
      <x:c r="F32" s="4"/>
      <x:c r="G32" s="4"/>
      <x:c r="H32" s="4"/>
    </x:row>
    <x:row r="33" ht="23" customHeight="1">
      <x:c r="A33" s="7" t="str">
        <x:v>Calculation details</x:v>
      </x:c>
      <x:c r="B33" s="7"/>
      <x:c r="C33" s="7"/>
      <x:c r="D33" s="2"/>
      <x:c r="E33" s="4"/>
      <x:c r="F33" s="4"/>
      <x:c r="G33" s="4"/>
      <x:c r="H33" s="4"/>
    </x:row>
    <x:row r="34" ht="23" customHeight="1">
      <x:c r="A34" s="2" t="str">
        <x:v>Amount financed</x:v>
      </x:c>
      <x:c r="B34" s="13" t="n">
        <x:f>IF(B32,B20-B22,NA())</x:f>
        <x:v>20000</x:v>
      </x:c>
      <x:c r="C34" s="13" t="n">
        <x:f>IF(C32,C20-C22,NA())</x:f>
        <x:v>27000</x:v>
      </x:c>
      <x:c r="D34" s="2"/>
      <x:c r="E34" s="2"/>
      <x:c r="F34" s="2"/>
      <x:c r="G34" s="2"/>
      <x:c r="H34" s="2"/>
    </x:row>
    <x:row r="35" ht="23" customHeight="1">
      <x:c r="A35" s="2" t="str">
        <x:v>Monthly interest rate</x:v>
      </x:c>
      <x:c r="B35" s="14" t="n">
        <x:f>IF(B32,B23/12,NA())</x:f>
        <x:v>0.006666666666666667</x:v>
      </x:c>
      <x:c r="C35" s="14" t="n">
        <x:f>IF(C32,C23/12,NA())</x:f>
        <x:v>0.006666666666666667</x:v>
      </x:c>
      <x:c r="D35" s="2"/>
      <x:c r="E35" s="4" t="str">
        <x:v>Method: monthly amortization, nominal dollars, constant annual running costs. Source for interest-rate versus APR definitions: https://www.consumerfinance.gov/ask-cfpb/what-is-the-difference-between-a-loan-interest-rate-and-the-apr-en-733/</x:v>
      </x:c>
      <x:c r="F35" s="4"/>
      <x:c r="G35" s="4"/>
      <x:c r="H35" s="4"/>
    </x:row>
    <x:row r="36" ht="23" customHeight="1">
      <x:c r="A36" s="2" t="str">
        <x:v>Monthly loan payment</x:v>
      </x:c>
      <x:c r="B36" s="13" t="n">
        <x:f>IF(B32,IF(B34=0,0,IF(B35=0,B34/B24,B34*B35/(1-(1+B35)^(-B24)))),NA())</x:f>
        <x:v>405.5278857682771</x:v>
      </x:c>
      <x:c r="C36" s="13" t="n">
        <x:f>IF(C32,IF(C34=0,0,IF(C35=0,C34/C24,C34*C35/(1-(1+C35)^(-C24)))),NA())</x:f>
        <x:v>473.39749652272906</x:v>
      </x:c>
      <x:c r="D36" s="2"/>
      <x:c r="E36" s="4"/>
      <x:c r="F36" s="4"/>
      <x:c r="G36" s="4"/>
      <x:c r="H36" s="4"/>
    </x:row>
    <x:row r="37" ht="23" customHeight="1">
      <x:c r="A37" s="2" t="str">
        <x:v>Loan payments made during holding period</x:v>
      </x:c>
      <x:c r="B37" s="13" t="n">
        <x:f>IF(B32,MIN($B$17,B24),NA())</x:f>
        <x:v>60</x:v>
      </x:c>
      <x:c r="C37" s="13" t="n">
        <x:f>IF(C32,MIN($B$17,C24),NA())</x:f>
        <x:v>60</x:v>
      </x:c>
      <x:c r="D37" s="2"/>
      <x:c r="E37" s="4"/>
      <x:c r="F37" s="4"/>
      <x:c r="G37" s="4"/>
      <x:c r="H37" s="4"/>
    </x:row>
    <x:row r="38" ht="23" customHeight="1">
      <x:c r="A38" s="2" t="str">
        <x:v>Loan balance at holding-period end</x:v>
      </x:c>
      <x:c r="B38" s="13" t="n">
        <x:f>IF(B32,IF($B$17&gt;=B24,0,IF(B35=0,MAX(0,B34-B36*$B$17),MAX(0,B34*(1+B35)^$B$17-B36*((1+B35)^$B$17-1)/B35))),NA())</x:f>
        <x:v>0</x:v>
      </x:c>
      <x:c r="C38" s="13" t="n">
        <x:f>IF(C32,IF($B$17&gt;=C24,0,IF(C35=0,MAX(0,C34-C36*$B$17),MAX(0,C34*(1+C35)^$B$17-C36*((1+C35)^$B$17-1)/C35))),NA())</x:f>
        <x:v>5442.074325285917</x:v>
      </x:c>
      <x:c r="D38" s="2"/>
      <x:c r="E38" s="4"/>
      <x:c r="F38" s="4"/>
      <x:c r="G38" s="4"/>
      <x:c r="H38" s="4"/>
    </x:row>
    <x:row r="39" ht="23" customHeight="1">
      <x:c r="A39" s="2" t="str">
        <x:v>Interest incurred during holding period</x:v>
      </x:c>
      <x:c r="B39" s="13" t="n">
        <x:f>IF(B32,MAX(0,B36*B37-B34+B38),NA())</x:f>
        <x:v>4331.673146096626</x:v>
      </x:c>
      <x:c r="C39" s="13" t="n">
        <x:f>IF(C32,MAX(0,C36*C37-C34+C38),NA())</x:f>
        <x:v>6845.924116649661</x:v>
      </x:c>
      <x:c r="D39" s="2"/>
      <x:c r="E39" s="4"/>
      <x:c r="F39" s="4"/>
      <x:c r="G39" s="4"/>
      <x:c r="H39" s="4"/>
    </x:row>
    <x:row r="40" ht="23" customHeight="1">
      <x:c r="A40" s="2" t="str">
        <x:v>Annual running costs</x:v>
      </x:c>
      <x:c r="B40" s="13" t="n">
        <x:f>IF(B32,B25*B26+SUM(B27:B29),NA())</x:f>
        <x:v>5800</x:v>
      </x:c>
      <x:c r="C40" s="13" t="n">
        <x:f>IF(C32,C25*C26+SUM(C27:C29),NA())</x:f>
        <x:v>4800</x:v>
      </x:c>
      <x:c r="D40" s="2"/>
      <x:c r="E40" s="4"/>
      <x:c r="F40" s="4"/>
      <x:c r="G40" s="4"/>
      <x:c r="H40" s="4"/>
    </x:row>
    <x:row r="41" ht="23" customHeight="1">
      <x:c r="A41" s="2" t="str">
        <x:v>Running costs over holding period</x:v>
      </x:c>
      <x:c r="B41" s="13" t="n">
        <x:f>IF(B32,B40*$B$17/12,NA())</x:f>
        <x:v>29000</x:v>
      </x:c>
      <x:c r="C41" s="13" t="n">
        <x:f>IF(C32,C40*$B$17/12,NA())</x:f>
        <x:v>24000</x:v>
      </x:c>
      <x:c r="D41" s="2"/>
      <x:c r="E41" s="2"/>
      <x:c r="F41" s="2"/>
      <x:c r="G41" s="2"/>
      <x:c r="H41" s="2"/>
    </x:row>
    <x:row r="42" ht="23" customHeight="1">
      <x:c r="A42" s="2" t="str">
        <x:v>Depreciation over holding period</x:v>
      </x:c>
      <x:c r="B42" s="13" t="n">
        <x:f>IF(B32,B20-B30,NA())</x:f>
        <x:v>13000</x:v>
      </x:c>
      <x:c r="C42" s="13" t="n">
        <x:f>IF(C32,C20-C30,NA())</x:f>
        <x:v>16000</x:v>
      </x:c>
      <x:c r="D42" s="2"/>
      <x:c r="E42" s="2"/>
      <x:c r="F42" s="2"/>
      <x:c r="G42" s="2"/>
      <x:c r="H42" s="2"/>
    </x:row>
    <x:row r="43" ht="23" customHeight="1">
      <x:c r="A43" s="2" t="str">
        <x:v>Economic ownership cost</x:v>
      </x:c>
      <x:c r="B43" s="13" t="n">
        <x:f>IF(B32,B42+B21+B39+B41,NA())</x:f>
        <x:v>47831.673146096626</x:v>
      </x:c>
      <x:c r="C43" s="13" t="n">
        <x:f>IF(C32,C42+C21+C39+C41,NA())</x:f>
        <x:v>48745.924116649665</x:v>
      </x:c>
      <x:c r="D43" s="2"/>
      <x:c r="E43" s="2"/>
      <x:c r="F43" s="2"/>
      <x:c r="G43" s="2"/>
      <x:c r="H43" s="2"/>
    </x:row>
    <x:row r="44" ht="23" customHeight="1">
      <x:c r="A44" s="2" t="str">
        <x:v>Upfront cash required</x:v>
      </x:c>
      <x:c r="B44" s="13" t="n">
        <x:f>IF(B32,SUM(B21:B22),NA())</x:f>
        <x:v>6500</x:v>
      </x:c>
      <x:c r="C44" s="13" t="n">
        <x:f>IF(C32,SUM(C21:C22),NA())</x:f>
        <x:v>6900</x:v>
      </x:c>
      <x:c r="D44" s="2"/>
      <x:c r="E44" s="2"/>
      <x:c r="F44" s="2"/>
      <x:c r="G44" s="2"/>
      <x:c r="H44" s="2"/>
    </x:row>
    <x:row r="45" ht="23" customHeight="1">
      <x:c r="A45" s="2" t="str">
        <x:v>Sale proceeds less loan payoff</x:v>
      </x:c>
      <x:c r="B45" s="13" t="n">
        <x:f>IF(B32,B30-B38,NA())</x:f>
        <x:v>12000</x:v>
      </x:c>
      <x:c r="C45" s="13" t="n">
        <x:f>IF(C32,C30-C38,NA())</x:f>
        <x:v>10557.925674714083</x:v>
      </x:c>
      <x:c r="D45" s="2"/>
      <x:c r="E45" s="2"/>
      <x:c r="F45" s="2"/>
      <x:c r="G45" s="2"/>
      <x:c r="H45" s="2"/>
    </x:row>
    <x:row r="46" ht="23" customHeight="1">
      <x:c r="A46" s="2" t="str">
        <x:v>Average monthly outflow, excluding upfront</x:v>
      </x:c>
      <x:c r="B46" s="13" t="n">
        <x:f>IF(B32,(B36*B37+B41)/$B$17,NA())</x:f>
        <x:v>888.8612191016105</x:v>
      </x:c>
      <x:c r="C46" s="13" t="n">
        <x:f>IF(C32,(C36*C37+C41)/$B$17,NA())</x:f>
        <x:v>873.397496522729</x:v>
      </x:c>
      <x:c r="D46" s="2"/>
      <x:c r="E46" s="2"/>
      <x:c r="F46" s="2"/>
      <x:c r="G46" s="2"/>
      <x:c r="H46" s="2"/>
    </x:row>
    <x:row r="47" ht="23" customHeight="1">
      <x:c r="A47" s="2"/>
      <x:c r="B47" s="2"/>
      <x:c r="C47" s="2"/>
      <x:c r="D47" s="2"/>
      <x:c r="E47" s="2"/>
      <x:c r="F47" s="2"/>
      <x:c r="G47" s="2"/>
      <x:c r="H47" s="2"/>
    </x:row>
    <x:row r="48" ht="23" customHeight="1">
      <x:c r="A48" s="7" t="str">
        <x:v>Sensitivity: economic cost</x:v>
      </x:c>
      <x:c r="B48" s="7"/>
      <x:c r="C48" s="7"/>
      <x:c r="D48" s="2"/>
      <x:c r="E48" s="2"/>
      <x:c r="F48" s="2"/>
      <x:c r="G48" s="2"/>
      <x:c r="H48" s="2"/>
    </x:row>
    <x:row r="49" ht="23" customHeight="1">
      <x:c r="A49" s="2" t="str">
        <x:v>Your inputs</x:v>
      </x:c>
      <x:c r="B49" s="9" t="n">
        <x:f>B8</x:f>
        <x:v>47831.673146096626</x:v>
      </x:c>
      <x:c r="C49" s="9" t="n">
        <x:f>C8</x:f>
        <x:v>48745.924116649665</x:v>
      </x:c>
      <x:c r="D49" s="2"/>
      <x:c r="E49" s="2"/>
      <x:c r="F49" s="2"/>
      <x:c r="G49" s="2"/>
      <x:c r="H49" s="2"/>
    </x:row>
    <x:row r="50" ht="23" customHeight="1">
      <x:c r="A50" s="2" t="str">
        <x:v>Both drive 5,000 more miles/year</x:v>
      </x:c>
      <x:c r="B50" s="9" t="n">
        <x:f>IF(B32,B43+(MIN(100000,B25+5000)-B25)*B26*$B$17/12,"Check inputs")</x:f>
        <x:v>51831.673146096626</x:v>
      </x:c>
      <x:c r="C50" s="9" t="n">
        <x:f>IF(C32,C43+(MIN(100000,C25+5000)-C25)*C26*$B$17/12,"Check inputs")</x:f>
        <x:v>50745.924116649665</x:v>
      </x:c>
      <x:c r="D50" s="2"/>
      <x:c r="E50" s="2"/>
      <x:c r="F50" s="2"/>
      <x:c r="G50" s="2"/>
      <x:c r="H50" s="2"/>
    </x:row>
    <x:row r="51" ht="23" customHeight="1">
      <x:c r="A51" s="2" t="str">
        <x:v>Vehicle B insurance +$600/year</x:v>
      </x:c>
      <x:c r="B51" s="9" t="n">
        <x:f>B8</x:f>
        <x:v>47831.673146096626</x:v>
      </x:c>
      <x:c r="C51" s="9" t="n">
        <x:f>IF(C32,C43+(MIN(100000,C27+600)-C27)*$B$17/12,"Check inputs")</x:f>
        <x:v>51745.924116649665</x:v>
      </x:c>
      <x:c r="D51" s="2"/>
      <x:c r="E51" s="2"/>
      <x:c r="F51" s="2"/>
      <x:c r="G51" s="2"/>
      <x:c r="H51" s="2"/>
    </x:row>
    <x:row r="52" ht="23" customHeight="1">
      <x:c r="A52" s="2" t="str">
        <x:v>Vehicle B resale value $3,000 lower</x:v>
      </x:c>
      <x:c r="B52" s="9" t="n">
        <x:f>B8</x:f>
        <x:v>47831.673146096626</x:v>
      </x:c>
      <x:c r="C52" s="9" t="n">
        <x:f>IF(C32,C43+MIN(3000,C30),"Check inputs")</x:f>
        <x:v>51745.924116649665</x:v>
      </x:c>
      <x:c r="D52" s="2"/>
      <x:c r="E52" s="2"/>
      <x:c r="F52" s="2"/>
      <x:c r="G52" s="2"/>
      <x:c r="H52" s="2"/>
    </x:row>
    <x:row r="53" ht="23" customHeight="1">
      <x:c r="A53" s="2"/>
      <x:c r="B53" s="9"/>
      <x:c r="C53" s="9"/>
      <x:c r="D53" s="2"/>
      <x:c r="E53" s="2"/>
      <x:c r="F53" s="2"/>
      <x:c r="G53" s="2"/>
      <x:c r="H53" s="2"/>
    </x:row>
    <x:row r="54" ht="23" customHeight="1">
      <x:c r="A54" s="2" t="str">
        <x:v>Cash reconciliation difference</x:v>
      </x:c>
      <x:c r="B54" s="9" t="n">
        <x:f>B44+B36*B37+B41-B45-B43</x:f>
        <x:v>0</x:v>
      </x:c>
      <x:c r="C54" s="9" t="n">
        <x:f>C44+C36*C37+C41-C45-C43</x:f>
        <x:v>-7.275957614183426e-12</x:v>
      </x:c>
      <x:c r="D54" s="2"/>
      <x:c r="E54" s="2"/>
      <x:c r="F54" s="2"/>
      <x:c r="G54" s="2"/>
      <x:c r="H54" s="2"/>
    </x:row>
    <x:row r="55" ht="23" customHeight="1">
      <x:c r="A55" s="2"/>
      <x:c r="B55" s="9"/>
      <x:c r="C55" s="9"/>
      <x:c r="D55" s="2"/>
      <x:c r="E55" s="2"/>
      <x:c r="F55" s="2"/>
      <x:c r="G55" s="2"/>
      <x:c r="H55" s="2"/>
    </x:row>
    <x:row r="56" ht="23" customHeight="1">
      <x:c r="A56" s="2"/>
      <x:c r="B56" s="9"/>
      <x:c r="C56" s="9"/>
      <x:c r="D56" s="2"/>
      <x:c r="E56" s="2"/>
      <x:c r="F56" s="2"/>
      <x:c r="G56" s="2"/>
      <x:c r="H56" s="2"/>
    </x:row>
    <x:row r="57" ht="23" customHeight="1">
      <x:c r="A57" s="2"/>
      <x:c r="B57" s="2"/>
      <x:c r="C57" s="2"/>
      <x:c r="D57" s="2"/>
      <x:c r="E57" s="2"/>
      <x:c r="F57" s="2"/>
      <x:c r="G57" s="2"/>
      <x:c r="H57" s="2"/>
    </x:row>
  </x:sheetData>
  <x:mergeCells>
    <x:mergeCell ref="A12:H12"/>
    <x:mergeCell ref="A13:H13"/>
    <x:mergeCell ref="A14:H14"/>
    <x:mergeCell ref="E20:H22"/>
    <x:mergeCell ref="E24:H27"/>
    <x:mergeCell ref="E29:H33"/>
    <x:mergeCell ref="E35:H40"/>
    <x:mergeCell ref="E3:H10"/>
  </x:mergeCells>
  <x:dataValidations count="2">
    <x:dataValidation type="decimal" operator="greaterThanOrEqual" sqref="B20:C30">
      <x:formula1>0</x:formula1>
    </x:dataValidation>
    <x:dataValidation type="whole" operator="between" sqref="B17">
      <x:formula1>1</x:formula1>
      <x:formula2>120</x:formula2>
    </x:dataValidation>
  </x:dataValidations>
  <x:pageMargins left="0.7" right="0.7" top="0.75" bottom="0.75" header="0.3" footer="0.3"/>
</x:worksheet>
</file>